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20" tabRatio="712" activeTab="0"/>
  </bookViews>
  <sheets>
    <sheet name="Calculator" sheetId="1" r:id="rId1"/>
    <sheet name="VersionHistory" sheetId="2" r:id="rId2"/>
  </sheets>
  <definedNames/>
  <calcPr fullCalcOnLoad="1"/>
</workbook>
</file>

<file path=xl/comments1.xml><?xml version="1.0" encoding="utf-8"?>
<comments xmlns="http://schemas.openxmlformats.org/spreadsheetml/2006/main">
  <authors>
    <author>オフィス機器集中管理センター</author>
    <author>パナソニック株式会社</author>
  </authors>
  <commentList>
    <comment ref="B30" authorId="0">
      <text>
        <r>
          <rPr>
            <b/>
            <sz val="9"/>
            <rFont val="Arial"/>
            <family val="2"/>
          </rPr>
          <t>Matrix Switcher WJ-SX650</t>
        </r>
        <r>
          <rPr>
            <sz val="9"/>
            <rFont val="Arial"/>
            <family val="2"/>
          </rPr>
          <t xml:space="preserve">
1x Input board and 1x Output board are pre-installed.
In addition, 1x Input board or 1x Output board can be installed.</t>
        </r>
      </text>
    </comment>
    <comment ref="B31" authorId="0">
      <text>
        <r>
          <rPr>
            <b/>
            <sz val="9"/>
            <rFont val="Arial"/>
            <family val="2"/>
          </rPr>
          <t>Expansion Unit WJ-SX650U</t>
        </r>
        <r>
          <rPr>
            <sz val="9"/>
            <rFont val="Arial"/>
            <family val="2"/>
          </rPr>
          <t xml:space="preserve">
3x Input boards can be installed to 1x unit.</t>
        </r>
      </text>
    </comment>
    <comment ref="B32" authorId="0">
      <text>
        <r>
          <rPr>
            <b/>
            <sz val="9"/>
            <rFont val="Arial"/>
            <family val="2"/>
          </rPr>
          <t>Input Board WJ-PB65C32</t>
        </r>
        <r>
          <rPr>
            <sz val="9"/>
            <rFont val="Arial"/>
            <family val="2"/>
          </rPr>
          <t xml:space="preserve">
Up to 32 videos can be Input.</t>
        </r>
      </text>
    </comment>
    <comment ref="B33" authorId="0">
      <text>
        <r>
          <rPr>
            <b/>
            <sz val="9"/>
            <rFont val="Arial"/>
            <family val="2"/>
          </rPr>
          <t>Output Board WJ-PB65M16</t>
        </r>
        <r>
          <rPr>
            <sz val="9"/>
            <rFont val="Arial"/>
            <family val="2"/>
          </rPr>
          <t xml:space="preserve">
Up to 16x Videos can be output.</t>
        </r>
      </text>
    </comment>
    <comment ref="B34" authorId="0">
      <text>
        <r>
          <rPr>
            <b/>
            <sz val="9"/>
            <rFont val="Arial"/>
            <family val="2"/>
          </rPr>
          <t>Network Board WJ-PB65E01</t>
        </r>
        <r>
          <rPr>
            <sz val="9"/>
            <rFont val="Arial"/>
            <family val="2"/>
          </rPr>
          <t xml:space="preserve">
It's used for connecting WJ-SX650 to IP matrix server in which WV-ASC970 is installed.</t>
        </r>
      </text>
    </comment>
    <comment ref="B35" authorId="0">
      <text>
        <r>
          <rPr>
            <b/>
            <sz val="9"/>
            <rFont val="Arial"/>
            <family val="2"/>
          </rPr>
          <t>Cable Kit WJ-CA65L07K/L20K</t>
        </r>
        <r>
          <rPr>
            <sz val="9"/>
            <rFont val="Arial"/>
            <family val="2"/>
          </rPr>
          <t xml:space="preserve">
for connecting SX650U and SX650 each other.
WJ-CA65L07K : 0.7 m
WJ-CA65L20K : 2.0 m</t>
        </r>
      </text>
    </comment>
    <comment ref="B36" authorId="0">
      <text>
        <r>
          <rPr>
            <b/>
            <sz val="9"/>
            <rFont val="Arial"/>
            <family val="2"/>
          </rPr>
          <t>D-Sub/BNC Video Cable WJ-CA68</t>
        </r>
        <r>
          <rPr>
            <sz val="9"/>
            <rFont val="Arial"/>
            <family val="2"/>
          </rPr>
          <t xml:space="preserve">
for getting Loop-thru video outputs from Input boards.
1x WJ-CA68 supports 8x video Loop-thru outputs.</t>
        </r>
      </text>
    </comment>
    <comment ref="B37" authorId="0">
      <text>
        <r>
          <rPr>
            <b/>
            <sz val="9"/>
            <rFont val="Arial"/>
            <family val="2"/>
          </rPr>
          <t>DVR</t>
        </r>
      </text>
    </comment>
    <comment ref="B38" authorId="0">
      <text>
        <r>
          <rPr>
            <b/>
            <sz val="9"/>
            <rFont val="Arial"/>
            <family val="2"/>
          </rPr>
          <t>Cable Kit WV-CA48/10K</t>
        </r>
        <r>
          <rPr>
            <sz val="9"/>
            <rFont val="Arial"/>
            <family val="2"/>
          </rPr>
          <t xml:space="preserve">
Split RS485 line for connecting WJ-RT416s by daisy-chain.
It's not required in SX650EX system because of using LAN connection.</t>
        </r>
      </text>
    </comment>
    <comment ref="B39" authorId="0">
      <text>
        <r>
          <rPr>
            <b/>
            <sz val="9"/>
            <rFont val="Arial"/>
            <family val="2"/>
          </rPr>
          <t>LCD Monitor</t>
        </r>
      </text>
    </comment>
    <comment ref="B41" authorId="0">
      <text>
        <r>
          <rPr>
            <b/>
            <sz val="9"/>
            <rFont val="Arial"/>
            <family val="2"/>
          </rPr>
          <t>System Controller WV-CU650</t>
        </r>
        <r>
          <rPr>
            <sz val="9"/>
            <rFont val="Arial"/>
            <family val="2"/>
          </rPr>
          <t xml:space="preserve">
WV-CU650 cannot use with WV-ASC970.</t>
        </r>
      </text>
    </comment>
    <comment ref="B42" authorId="0">
      <text>
        <r>
          <rPr>
            <b/>
            <sz val="9"/>
            <rFont val="Arial"/>
            <family val="2"/>
          </rPr>
          <t>System Controller WV-CU950</t>
        </r>
        <r>
          <rPr>
            <sz val="9"/>
            <rFont val="Arial"/>
            <family val="2"/>
          </rPr>
          <t xml:space="preserve">
WV-CU950 can be used in both Standard SX650 system and SX650EX system (with WV-ASC970).</t>
        </r>
      </text>
    </comment>
    <comment ref="B43" authorId="0">
      <text>
        <r>
          <rPr>
            <b/>
            <sz val="9"/>
            <rFont val="Arial"/>
            <family val="2"/>
          </rPr>
          <t>IP matrix server software WV-ASC970</t>
        </r>
        <r>
          <rPr>
            <sz val="9"/>
            <rFont val="Arial"/>
            <family val="2"/>
          </rPr>
          <t xml:space="preserve">
This software is required for the system over 256inputs x 32 outputs x 16 controllers,
Linux server PC is required for this software.</t>
        </r>
      </text>
    </comment>
    <comment ref="B40" authorId="1">
      <text>
        <r>
          <rPr>
            <b/>
            <sz val="9"/>
            <rFont val="Arial"/>
            <family val="2"/>
          </rPr>
          <t>LCD monitor for the Ext. monitor.
When WJ-HD716/616 is selected for DVR, WV-LW2200/1900 which have HDMI input will be selected automatically.</t>
        </r>
      </text>
    </comment>
  </commentList>
</comments>
</file>

<file path=xl/sharedStrings.xml><?xml version="1.0" encoding="utf-8"?>
<sst xmlns="http://schemas.openxmlformats.org/spreadsheetml/2006/main" count="88" uniqueCount="74">
  <si>
    <t>MXSW12</t>
  </si>
  <si>
    <t>MXSW21</t>
  </si>
  <si>
    <t>MXSW22</t>
  </si>
  <si>
    <t>MXSW11</t>
  </si>
  <si>
    <t>BRIDGE1</t>
  </si>
  <si>
    <t>BRIDGE2</t>
  </si>
  <si>
    <t>Input Board</t>
  </si>
  <si>
    <t>Output Board</t>
  </si>
  <si>
    <t>Cage</t>
  </si>
  <si>
    <t>REC</t>
  </si>
  <si>
    <t>WJ-SX650</t>
  </si>
  <si>
    <t>WJ-SX650U</t>
  </si>
  <si>
    <t>WJ-PB65C32</t>
  </si>
  <si>
    <t>WJ-PB65M16</t>
  </si>
  <si>
    <t>WJ-PB65E01</t>
  </si>
  <si>
    <t>WJ-CA65L07K/L20K</t>
  </si>
  <si>
    <t>WJ-CA68</t>
  </si>
  <si>
    <t>WV-CA48/10K</t>
  </si>
  <si>
    <t>WV-CU650</t>
  </si>
  <si>
    <t>WV-CU950</t>
  </si>
  <si>
    <t>Total Qty</t>
  </si>
  <si>
    <t>Model No.</t>
  </si>
  <si>
    <t>Cameras</t>
  </si>
  <si>
    <t>Monitors</t>
  </si>
  <si>
    <t>Controllers</t>
  </si>
  <si>
    <t>Unit Price</t>
  </si>
  <si>
    <t>Subtotal</t>
  </si>
  <si>
    <t>Required Products</t>
  </si>
  <si>
    <t>ch</t>
  </si>
  <si>
    <t>Max. # of cameras</t>
  </si>
  <si>
    <t>Max. # of monitors</t>
  </si>
  <si>
    <t>Max. # of controllers</t>
  </si>
  <si>
    <t>Max. # of inputs</t>
  </si>
  <si>
    <t>Max. # of outputs</t>
  </si>
  <si>
    <t>Max. # of DVRs</t>
  </si>
  <si>
    <t>Max. # of DVR return</t>
  </si>
  <si>
    <t>DVRs' Monitor outputs</t>
  </si>
  <si>
    <t>Redundant</t>
  </si>
  <si>
    <t>Total # of DVR output returns</t>
  </si>
  <si>
    <t>Total Price</t>
  </si>
  <si>
    <t>Conditions</t>
  </si>
  <si>
    <t>Calculation Result</t>
  </si>
  <si>
    <t>The number of Video Links (for Satellite Configuration only)</t>
  </si>
  <si>
    <t>System Diagram</t>
  </si>
  <si>
    <t>Detailed Information</t>
  </si>
  <si>
    <t>In this diagram, the # of Input Board, Output Board, and Cage include WJ-SX650.</t>
  </si>
  <si>
    <t>SX650/SX650EX Calculator</t>
  </si>
  <si>
    <t>Video Link In</t>
  </si>
  <si>
    <t>Video Link Out</t>
  </si>
  <si>
    <t>The number of Cameras/Monitors/Controllers</t>
  </si>
  <si>
    <t>No</t>
  </si>
  <si>
    <t>WV-ASC970</t>
  </si>
  <si>
    <t>Redundant (SX650EX with WV-ASC970 only)</t>
  </si>
  <si>
    <t>Version</t>
  </si>
  <si>
    <t>First Release</t>
  </si>
  <si>
    <t>Description</t>
  </si>
  <si>
    <t>Date of issue</t>
  </si>
  <si>
    <t>SX650/SX650EX Calculator Version History</t>
  </si>
  <si>
    <t>---</t>
  </si>
  <si>
    <t>- Delete WJ-MPU955A and WJ-ASC960
- Add WV-ASC970
- Add WJ-HD716/616 for DVR model No.
- Add detailed information for output in the system diagram</t>
  </si>
  <si>
    <t>Total # of DVR</t>
  </si>
  <si>
    <t># of DVR input</t>
  </si>
  <si>
    <t>Total # of output signals</t>
  </si>
  <si>
    <t>Total # of input signals</t>
  </si>
  <si>
    <t>Total # of Input boards</t>
  </si>
  <si>
    <t>- DVR model # is selectable
- The # of WV-CA48/10K is automatically set only for WJ-RT416.
- External monitors for DVRs are individually calculated.
- External monitors for WJ-HD716/616 are set to WV-LW2200/1900 automatically.
- Delete WJ-MPU955A and Add WV-ASC970 in comments.</t>
  </si>
  <si>
    <t>- Add the condition for DVR output
- Unite two worksheets to the one
- Add the condition for Redundant</t>
  </si>
  <si>
    <t>WJ-HD716/616</t>
  </si>
  <si>
    <t>LCD monitor (Composite)</t>
  </si>
  <si>
    <t>LCD monitor (HDMI)</t>
  </si>
  <si>
    <t>(Fixed)</t>
  </si>
  <si>
    <t>Ver.2.2</t>
  </si>
  <si>
    <t>- DVR model # is fixed to WJ-HD716/616
- Delete LCD monitors' model #. (WV-LW2200/1900, LC1900/1700 are discontinued.)</t>
  </si>
  <si>
    <t>Return to Matrix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</si>
</sst>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[&lt;=999]000;[&lt;=9999]000\-00;000\-0000"/>
    <numFmt numFmtId="185" formatCode="0.0_ "/>
    <numFmt numFmtId="186" formatCode="0.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 quotePrefix="1">
      <alignment vertical="center"/>
    </xf>
    <xf numFmtId="0" fontId="5" fillId="2" borderId="3" xfId="0" applyFont="1" applyFill="1" applyBorder="1" applyAlignment="1" quotePrefix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5" fillId="2" borderId="3" xfId="0" applyFont="1" applyFill="1" applyBorder="1" applyAlignment="1" quotePrefix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 quotePrefix="1">
      <alignment horizontal="right" vertical="center"/>
    </xf>
    <xf numFmtId="0" fontId="4" fillId="2" borderId="3" xfId="0" applyFont="1" applyFill="1" applyBorder="1" applyAlignment="1" quotePrefix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 quotePrefix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4" fillId="2" borderId="12" xfId="0" applyFont="1" applyFill="1" applyBorder="1" applyAlignment="1" quotePrefix="1">
      <alignment horizontal="center" vertical="center"/>
    </xf>
    <xf numFmtId="0" fontId="8" fillId="2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8" fontId="4" fillId="0" borderId="23" xfId="16" applyFont="1" applyBorder="1" applyAlignment="1">
      <alignment vertical="center"/>
    </xf>
    <xf numFmtId="38" fontId="4" fillId="0" borderId="24" xfId="16" applyFont="1" applyBorder="1" applyAlignment="1">
      <alignment vertical="center"/>
    </xf>
    <xf numFmtId="38" fontId="4" fillId="5" borderId="19" xfId="16" applyFont="1" applyFill="1" applyBorder="1" applyAlignment="1" applyProtection="1">
      <alignment vertical="center"/>
      <protection locked="0"/>
    </xf>
    <xf numFmtId="38" fontId="4" fillId="5" borderId="25" xfId="16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vertical="center"/>
      <protection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 quotePrefix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30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34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38" fontId="4" fillId="4" borderId="4" xfId="16" applyFont="1" applyFill="1" applyBorder="1" applyAlignment="1" applyProtection="1">
      <alignment vertical="center"/>
      <protection locked="0"/>
    </xf>
    <xf numFmtId="0" fontId="4" fillId="6" borderId="26" xfId="0" applyFont="1" applyFill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6" fillId="6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quotePrefix="1">
      <alignment vertical="center"/>
    </xf>
    <xf numFmtId="0" fontId="0" fillId="0" borderId="10" xfId="0" applyBorder="1" applyAlignment="1">
      <alignment vertical="center"/>
    </xf>
    <xf numFmtId="15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 wrapText="1"/>
    </xf>
    <xf numFmtId="0" fontId="0" fillId="7" borderId="10" xfId="0" applyFill="1" applyBorder="1" applyAlignment="1">
      <alignment vertical="center"/>
    </xf>
    <xf numFmtId="185" fontId="0" fillId="0" borderId="10" xfId="0" applyNumberForma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 quotePrefix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/>
    </xf>
    <xf numFmtId="38" fontId="4" fillId="4" borderId="5" xfId="16" applyFont="1" applyFill="1" applyBorder="1" applyAlignment="1" applyProtection="1">
      <alignment vertical="center"/>
      <protection locked="0"/>
    </xf>
    <xf numFmtId="38" fontId="4" fillId="4" borderId="6" xfId="16" applyFont="1" applyFill="1" applyBorder="1" applyAlignment="1" applyProtection="1">
      <alignment vertical="center"/>
      <protection locked="0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vertical="center"/>
    </xf>
    <xf numFmtId="0" fontId="14" fillId="6" borderId="2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b/>
        <i val="0"/>
        <color rgb="FFFF9900"/>
      </font>
      <fill>
        <patternFill>
          <bgColor rgb="FFFF9900"/>
        </patternFill>
      </fill>
      <border/>
    </dxf>
    <dxf>
      <font>
        <b/>
        <i val="0"/>
      </font>
      <fill>
        <patternFill>
          <bgColor rgb="FFFF9900"/>
        </patternFill>
      </fill>
      <border/>
    </dxf>
    <dxf>
      <border>
        <left style="thin">
          <color rgb="FF000000"/>
        </left>
      </border>
    </dxf>
    <dxf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/>
    </dxf>
    <dxf>
      <fill>
        <patternFill>
          <bgColor rgb="FFFF9900"/>
        </patternFill>
      </fill>
      <border>
        <right>
          <color rgb="FF000000"/>
        </right>
      </border>
    </dxf>
    <dxf>
      <fill>
        <patternFill patternType="none">
          <bgColor indexed="65"/>
        </patternFill>
      </fill>
      <border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9900"/>
        </patternFill>
      </fill>
      <border>
        <left>
          <color rgb="FF000000"/>
        </left>
      </border>
    </dxf>
    <dxf>
      <fill>
        <patternFill patternType="none">
          <bgColor indexed="65"/>
        </patternFill>
      </fill>
      <border>
        <left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  <pageSetUpPr fitToPage="1"/>
  </sheetPr>
  <dimension ref="A1:O71"/>
  <sheetViews>
    <sheetView showGridLines="0" tabSelected="1" workbookViewId="0" topLeftCell="A1">
      <selection activeCell="C5" sqref="C5"/>
    </sheetView>
  </sheetViews>
  <sheetFormatPr defaultColWidth="9.00390625" defaultRowHeight="13.5"/>
  <cols>
    <col min="1" max="1" width="0.5" style="1" customWidth="1"/>
    <col min="2" max="2" width="23.625" style="1" customWidth="1"/>
    <col min="3" max="3" width="16.125" style="1" customWidth="1"/>
    <col min="4" max="4" width="13.875" style="1" customWidth="1"/>
    <col min="5" max="5" width="14.125" style="1" customWidth="1"/>
    <col min="6" max="6" width="3.00390625" style="1" customWidth="1"/>
    <col min="7" max="7" width="15.125" style="1" customWidth="1"/>
    <col min="8" max="8" width="13.50390625" style="1" customWidth="1"/>
    <col min="9" max="9" width="15.625" style="1" customWidth="1"/>
    <col min="10" max="10" width="12.75390625" style="1" bestFit="1" customWidth="1"/>
    <col min="11" max="11" width="12.75390625" style="1" customWidth="1"/>
    <col min="12" max="13" width="10.625" style="1" customWidth="1"/>
    <col min="14" max="14" width="9.125" style="1" customWidth="1"/>
    <col min="15" max="16384" width="9.00390625" style="1" customWidth="1"/>
  </cols>
  <sheetData>
    <row r="1" spans="1:13" ht="26.25">
      <c r="A1" s="74"/>
      <c r="B1" s="120" t="s">
        <v>46</v>
      </c>
      <c r="C1" s="121"/>
      <c r="D1" s="121"/>
      <c r="E1" s="103" t="s">
        <v>71</v>
      </c>
      <c r="F1" s="103"/>
      <c r="G1" s="96"/>
      <c r="H1" s="96"/>
      <c r="I1" s="96"/>
      <c r="J1" s="96"/>
      <c r="K1" s="96"/>
      <c r="L1" s="96"/>
      <c r="M1" s="97"/>
    </row>
    <row r="2" spans="1:13" ht="12.75">
      <c r="A2" s="74"/>
      <c r="B2" s="8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4" thickBot="1">
      <c r="A3" s="74"/>
      <c r="B3" s="102" t="s">
        <v>40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 thickBot="1" thickTop="1">
      <c r="A4" s="74"/>
      <c r="B4" s="87" t="s">
        <v>49</v>
      </c>
      <c r="C4" s="74"/>
      <c r="D4" s="74"/>
      <c r="E4" s="75"/>
      <c r="F4" s="75"/>
      <c r="G4" s="88" t="s">
        <v>52</v>
      </c>
      <c r="H4" s="74"/>
      <c r="I4" s="74"/>
      <c r="J4" s="74"/>
      <c r="K4" s="74"/>
      <c r="L4" s="74"/>
      <c r="M4" s="74"/>
    </row>
    <row r="5" spans="1:13" ht="16.5" customHeight="1" thickBot="1">
      <c r="A5" s="74"/>
      <c r="B5" s="38" t="s">
        <v>22</v>
      </c>
      <c r="C5" s="95">
        <v>176</v>
      </c>
      <c r="D5" s="74" t="str">
        <f>CONCATENATE("(0-",C19,")")</f>
        <v>(0-481)</v>
      </c>
      <c r="E5" s="74"/>
      <c r="F5" s="74"/>
      <c r="G5" s="69" t="s">
        <v>37</v>
      </c>
      <c r="H5" s="70" t="s">
        <v>50</v>
      </c>
      <c r="I5" s="74"/>
      <c r="J5" s="74"/>
      <c r="K5" s="74"/>
      <c r="L5" s="74"/>
      <c r="M5" s="74"/>
    </row>
    <row r="6" spans="1:13" ht="16.5" customHeight="1">
      <c r="A6" s="74"/>
      <c r="B6" s="39" t="s">
        <v>23</v>
      </c>
      <c r="C6" s="116">
        <v>15</v>
      </c>
      <c r="D6" s="74" t="str">
        <f>CONCATENATE("(0-",C12,")")</f>
        <v>(0-64)</v>
      </c>
      <c r="E6" s="75"/>
      <c r="F6" s="75"/>
      <c r="G6" s="74"/>
      <c r="H6" s="74"/>
      <c r="I6" s="74"/>
      <c r="J6" s="74"/>
      <c r="K6" s="74"/>
      <c r="L6" s="74"/>
      <c r="M6" s="74"/>
    </row>
    <row r="7" spans="1:13" ht="16.5" customHeight="1" thickBot="1">
      <c r="A7" s="74"/>
      <c r="B7" s="60" t="s">
        <v>24</v>
      </c>
      <c r="C7" s="117">
        <v>4</v>
      </c>
      <c r="D7" s="74" t="str">
        <f>CONCATENATE("(0-",C14,")")</f>
        <v>(0-64)</v>
      </c>
      <c r="E7" s="74"/>
      <c r="F7" s="74"/>
      <c r="G7" s="88" t="s">
        <v>42</v>
      </c>
      <c r="H7" s="74"/>
      <c r="I7" s="74"/>
      <c r="J7" s="74"/>
      <c r="K7" s="74"/>
      <c r="L7" s="74"/>
      <c r="M7" s="74"/>
    </row>
    <row r="8" spans="1:13" ht="16.5" customHeight="1">
      <c r="A8" s="74"/>
      <c r="B8" s="38" t="str">
        <f>CONCATENATE("DVRs (",C15,"ch)")</f>
        <v>DVRs (16ch)</v>
      </c>
      <c r="C8" s="115" t="s">
        <v>67</v>
      </c>
      <c r="D8" s="74" t="s">
        <v>70</v>
      </c>
      <c r="E8" s="74"/>
      <c r="F8" s="74"/>
      <c r="G8" s="43" t="s">
        <v>47</v>
      </c>
      <c r="H8" s="41">
        <v>0</v>
      </c>
      <c r="I8" s="74" t="str">
        <f>CONCATENATE("(0-",C11,")")</f>
        <v>(0-512)</v>
      </c>
      <c r="J8" s="74"/>
      <c r="K8" s="74"/>
      <c r="L8" s="74"/>
      <c r="M8" s="74"/>
    </row>
    <row r="9" spans="1:13" ht="16.5" customHeight="1" thickBot="1">
      <c r="A9" s="74"/>
      <c r="B9" s="40" t="s">
        <v>36</v>
      </c>
      <c r="C9" s="65" t="s">
        <v>73</v>
      </c>
      <c r="D9" s="74"/>
      <c r="E9" s="74"/>
      <c r="F9" s="74"/>
      <c r="G9" s="44" t="s">
        <v>48</v>
      </c>
      <c r="H9" s="42">
        <v>0</v>
      </c>
      <c r="I9" s="74" t="str">
        <f>CONCATENATE("(0-",C12,")")</f>
        <v>(0-64)</v>
      </c>
      <c r="J9" s="74"/>
      <c r="K9" s="74"/>
      <c r="L9" s="74"/>
      <c r="M9" s="74"/>
    </row>
    <row r="10" spans="1:13" ht="15.75">
      <c r="A10" s="74"/>
      <c r="B10" s="2"/>
      <c r="C10" s="2"/>
      <c r="D10" s="2"/>
      <c r="E10" s="2"/>
      <c r="F10" s="2"/>
      <c r="G10" s="85">
        <f>IF(OR(C24&lt;1,C24&gt;C11),CONCATENATE("Error - Total Input Signals must be 1 to ",C11),IF(OR(C25&lt;1,C25&gt;C12),CONCATENATE("Error - Monitor+VideoLinkOut must be 1 to ",C12),""))</f>
      </c>
      <c r="H10" s="2"/>
      <c r="I10" s="2"/>
      <c r="J10" s="2"/>
      <c r="K10" s="2"/>
      <c r="L10" s="2"/>
      <c r="M10" s="2"/>
    </row>
    <row r="11" spans="2:13" ht="12.75" hidden="1">
      <c r="B11" s="2" t="s">
        <v>32</v>
      </c>
      <c r="C11" s="3">
        <v>512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 hidden="1">
      <c r="B12" s="2" t="s">
        <v>33</v>
      </c>
      <c r="C12" s="3">
        <v>64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 hidden="1">
      <c r="B13" s="2" t="s">
        <v>30</v>
      </c>
      <c r="C13" s="3">
        <v>64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2.75" hidden="1">
      <c r="B14" s="2" t="s">
        <v>31</v>
      </c>
      <c r="C14" s="3">
        <v>64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 hidden="1">
      <c r="B15" s="2" t="s">
        <v>61</v>
      </c>
      <c r="C15" s="2">
        <v>16</v>
      </c>
      <c r="D15" s="3" t="s">
        <v>28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ht="12.75" hidden="1"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 hidden="1">
      <c r="B17" s="2" t="s">
        <v>34</v>
      </c>
      <c r="C17" s="3">
        <f>ROUNDUP(C11/C15,0)</f>
        <v>32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 hidden="1">
      <c r="B18" s="2" t="s">
        <v>35</v>
      </c>
      <c r="C18" s="3">
        <f>IF(C11-ROUNDDOWN(C11/(C15+1),0)*(C15+1)&gt;=2,ROUNDUP(C11/(C15+1),0),ROUNDDOWN(C11/(C15+1),0))</f>
        <v>31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 hidden="1">
      <c r="B19" s="2" t="s">
        <v>29</v>
      </c>
      <c r="C19" s="3">
        <f>IF(C9="Return to Matrix",C11-C18,C11-C22)</f>
        <v>481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 hidden="1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 hidden="1">
      <c r="B21" s="2" t="s">
        <v>60</v>
      </c>
      <c r="C21" s="2">
        <f>ROUNDUP(C5/C15,0)</f>
        <v>11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 hidden="1">
      <c r="B22" s="2" t="s">
        <v>38</v>
      </c>
      <c r="C22" s="2">
        <f>IF(C9="Return to Matrix",C21,0)</f>
        <v>11</v>
      </c>
      <c r="D22" s="3" t="str">
        <f>CONCATENATE("(0 to ",C21,")")</f>
        <v>(0 to 11)</v>
      </c>
      <c r="E22" s="3"/>
      <c r="F22" s="3"/>
      <c r="G22" s="3"/>
      <c r="H22" s="3"/>
      <c r="I22" s="3"/>
      <c r="J22" s="3"/>
      <c r="K22" s="3"/>
      <c r="L22" s="3"/>
      <c r="M22" s="3"/>
    </row>
    <row r="23" spans="2:13" ht="12.75" hidden="1">
      <c r="B23" s="2" t="s">
        <v>64</v>
      </c>
      <c r="C23" s="1">
        <f>ROUNDUP(C24/32,0)</f>
        <v>6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2.75" hidden="1">
      <c r="B24" s="2" t="s">
        <v>63</v>
      </c>
      <c r="C24" s="1">
        <f>C5+C22+H8</f>
        <v>187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2.75" hidden="1">
      <c r="B25" s="2" t="s">
        <v>62</v>
      </c>
      <c r="C25" s="1">
        <f>C6+H9</f>
        <v>15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3" ht="12.75">
      <c r="B26" s="2"/>
      <c r="C26" s="3"/>
    </row>
    <row r="27" spans="1:13" ht="24" thickBot="1">
      <c r="A27" s="74"/>
      <c r="B27" s="102" t="s">
        <v>41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7" ht="17.25" thickBot="1" thickTop="1">
      <c r="B28" s="89" t="s">
        <v>27</v>
      </c>
      <c r="C28" s="3"/>
      <c r="D28" s="3"/>
      <c r="E28" s="3"/>
      <c r="F28" s="3"/>
      <c r="G28" s="90" t="s">
        <v>44</v>
      </c>
    </row>
    <row r="29" spans="2:13" ht="12.75">
      <c r="B29" s="98" t="s">
        <v>21</v>
      </c>
      <c r="C29" s="99" t="s">
        <v>20</v>
      </c>
      <c r="D29" s="100" t="s">
        <v>25</v>
      </c>
      <c r="E29" s="101" t="s">
        <v>26</v>
      </c>
      <c r="F29" s="78"/>
      <c r="G29" s="45" t="s">
        <v>3</v>
      </c>
      <c r="H29" s="45" t="s">
        <v>0</v>
      </c>
      <c r="I29" s="45" t="s">
        <v>4</v>
      </c>
      <c r="J29" s="45" t="s">
        <v>1</v>
      </c>
      <c r="K29" s="45" t="s">
        <v>2</v>
      </c>
      <c r="L29" s="45" t="s">
        <v>5</v>
      </c>
      <c r="M29" s="45" t="s">
        <v>9</v>
      </c>
    </row>
    <row r="30" spans="2:13" ht="12.75">
      <c r="B30" s="46" t="s">
        <v>10</v>
      </c>
      <c r="C30" s="47">
        <f aca="true" t="shared" si="0" ref="C30:C43">IF(G$10="",SUM(G30:M30),"-")</f>
        <v>1</v>
      </c>
      <c r="D30" s="63"/>
      <c r="E30" s="61">
        <f aca="true" t="shared" si="1" ref="E30:E44">IF(ISNUMBER(D30),C30*D30,"")</f>
      </c>
      <c r="F30" s="112" t="s">
        <v>58</v>
      </c>
      <c r="G30" s="14">
        <v>1</v>
      </c>
      <c r="H30" s="14">
        <f>IF(C23&gt;8,1,0)</f>
        <v>0</v>
      </c>
      <c r="I30" s="14">
        <f>H30</f>
        <v>0</v>
      </c>
      <c r="J30" s="14">
        <f>IF(C25&gt;32,1,0)</f>
        <v>0</v>
      </c>
      <c r="K30" s="14">
        <f>IF(AND(C23&gt;8,C25&gt;32),1,0)</f>
        <v>0</v>
      </c>
      <c r="L30" s="14">
        <f>K30</f>
        <v>0</v>
      </c>
      <c r="M30" s="14">
        <v>0</v>
      </c>
    </row>
    <row r="31" spans="2:13" ht="12.75">
      <c r="B31" s="46" t="s">
        <v>11</v>
      </c>
      <c r="C31" s="47">
        <f t="shared" si="0"/>
        <v>2</v>
      </c>
      <c r="D31" s="63"/>
      <c r="E31" s="61">
        <f t="shared" si="1"/>
      </c>
      <c r="F31" s="112" t="s">
        <v>58</v>
      </c>
      <c r="G31" s="14">
        <f>D56-G30</f>
        <v>2</v>
      </c>
      <c r="H31" s="14">
        <f>K56-H30</f>
        <v>0</v>
      </c>
      <c r="I31" s="14">
        <f>H57-I30</f>
        <v>0</v>
      </c>
      <c r="J31" s="14">
        <f>D62-J30</f>
        <v>0</v>
      </c>
      <c r="K31" s="14">
        <f>K62-K30</f>
        <v>0</v>
      </c>
      <c r="L31" s="14">
        <f>H63-L30</f>
        <v>0</v>
      </c>
      <c r="M31" s="14">
        <v>0</v>
      </c>
    </row>
    <row r="32" spans="2:13" ht="12.75">
      <c r="B32" s="46" t="s">
        <v>12</v>
      </c>
      <c r="C32" s="47">
        <f t="shared" si="0"/>
        <v>5</v>
      </c>
      <c r="D32" s="63"/>
      <c r="E32" s="61">
        <f t="shared" si="1"/>
      </c>
      <c r="F32" s="112" t="s">
        <v>58</v>
      </c>
      <c r="G32" s="14">
        <f>D54-G30</f>
        <v>5</v>
      </c>
      <c r="H32" s="14">
        <f>K54-H30</f>
        <v>0</v>
      </c>
      <c r="I32" s="14">
        <f>H55-I30</f>
        <v>0</v>
      </c>
      <c r="J32" s="14">
        <f>D60-J30</f>
        <v>0</v>
      </c>
      <c r="K32" s="14">
        <f>K60-K30</f>
        <v>0</v>
      </c>
      <c r="L32" s="14">
        <f>H61-L30</f>
        <v>0</v>
      </c>
      <c r="M32" s="14">
        <v>0</v>
      </c>
    </row>
    <row r="33" spans="2:13" ht="12.75">
      <c r="B33" s="46" t="s">
        <v>13</v>
      </c>
      <c r="C33" s="47">
        <f t="shared" si="0"/>
        <v>1</v>
      </c>
      <c r="D33" s="63"/>
      <c r="E33" s="61">
        <f t="shared" si="1"/>
      </c>
      <c r="F33" s="112" t="s">
        <v>58</v>
      </c>
      <c r="G33" s="14">
        <f>D55-G30</f>
        <v>1</v>
      </c>
      <c r="H33" s="14">
        <f>K55-H30</f>
        <v>0</v>
      </c>
      <c r="I33" s="14">
        <f>H56-I30</f>
        <v>0</v>
      </c>
      <c r="J33" s="14">
        <f>D61-J30</f>
        <v>0</v>
      </c>
      <c r="K33" s="14">
        <f>K61-K30</f>
        <v>0</v>
      </c>
      <c r="L33" s="14">
        <f>H62-L30</f>
        <v>0</v>
      </c>
      <c r="M33" s="14">
        <v>0</v>
      </c>
    </row>
    <row r="34" spans="2:13" ht="12.75">
      <c r="B34" s="46" t="s">
        <v>14</v>
      </c>
      <c r="C34" s="47">
        <f t="shared" si="0"/>
        <v>0</v>
      </c>
      <c r="D34" s="63"/>
      <c r="E34" s="61">
        <f t="shared" si="1"/>
      </c>
      <c r="F34" s="112" t="s">
        <v>58</v>
      </c>
      <c r="G34" s="14">
        <f>IF(H69&gt;0,1,0)</f>
        <v>0</v>
      </c>
      <c r="H34" s="14">
        <f aca="true" t="shared" si="2" ref="H34:L35">H30</f>
        <v>0</v>
      </c>
      <c r="I34" s="14">
        <f t="shared" si="2"/>
        <v>0</v>
      </c>
      <c r="J34" s="14">
        <f t="shared" si="2"/>
        <v>0</v>
      </c>
      <c r="K34" s="14">
        <f t="shared" si="2"/>
        <v>0</v>
      </c>
      <c r="L34" s="14">
        <f t="shared" si="2"/>
        <v>0</v>
      </c>
      <c r="M34" s="14">
        <v>0</v>
      </c>
    </row>
    <row r="35" spans="2:13" ht="12.75">
      <c r="B35" s="46" t="s">
        <v>15</v>
      </c>
      <c r="C35" s="47">
        <f t="shared" si="0"/>
        <v>2</v>
      </c>
      <c r="D35" s="63"/>
      <c r="E35" s="61">
        <f t="shared" si="1"/>
      </c>
      <c r="F35" s="112" t="s">
        <v>58</v>
      </c>
      <c r="G35" s="14">
        <f>G31</f>
        <v>2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v>0</v>
      </c>
    </row>
    <row r="36" spans="2:13" ht="12.75">
      <c r="B36" s="46" t="s">
        <v>16</v>
      </c>
      <c r="C36" s="47">
        <f t="shared" si="0"/>
        <v>22</v>
      </c>
      <c r="D36" s="63"/>
      <c r="E36" s="61">
        <f t="shared" si="1"/>
      </c>
      <c r="F36" s="112" t="s">
        <v>58</v>
      </c>
      <c r="G36" s="14">
        <f>IF(C25&gt;32,ROUNDUP(E53/8,0),ROUNDUP(C50/8,0))</f>
        <v>22</v>
      </c>
      <c r="H36" s="14">
        <f>IF(C25&gt;32,ROUNDUP(L53/8,0),ROUNDUP(J50/8,0))</f>
        <v>0</v>
      </c>
      <c r="I36" s="14">
        <v>0</v>
      </c>
      <c r="J36" s="14">
        <f>IF(J30=1,ROUNDUP(C50/8,0),0)</f>
        <v>0</v>
      </c>
      <c r="K36" s="14">
        <f>IF(K30=1,ROUNDUP(J50/8,0),0)</f>
        <v>0</v>
      </c>
      <c r="L36" s="14">
        <v>0</v>
      </c>
      <c r="M36" s="14">
        <v>0</v>
      </c>
    </row>
    <row r="37" spans="2:13" ht="12.75">
      <c r="B37" s="46" t="str">
        <f>C8</f>
        <v>WJ-HD716/616</v>
      </c>
      <c r="C37" s="47">
        <f t="shared" si="0"/>
        <v>11</v>
      </c>
      <c r="D37" s="63"/>
      <c r="E37" s="61">
        <f t="shared" si="1"/>
      </c>
      <c r="F37" s="112" t="s">
        <v>58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f>C21</f>
        <v>11</v>
      </c>
    </row>
    <row r="38" spans="2:13" ht="12.75">
      <c r="B38" s="46" t="s">
        <v>17</v>
      </c>
      <c r="C38" s="47">
        <f t="shared" si="0"/>
        <v>0</v>
      </c>
      <c r="D38" s="63"/>
      <c r="E38" s="61">
        <f t="shared" si="1"/>
      </c>
      <c r="F38" s="112" t="s">
        <v>58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f>IF(AND(H69=0,C8="WJ-RT416"),M37,0)</f>
        <v>0</v>
      </c>
    </row>
    <row r="39" spans="2:13" ht="12.75">
      <c r="B39" s="39" t="s">
        <v>68</v>
      </c>
      <c r="C39" s="47">
        <f t="shared" si="0"/>
        <v>15</v>
      </c>
      <c r="D39" s="63"/>
      <c r="E39" s="61">
        <f t="shared" si="1"/>
      </c>
      <c r="F39" s="112" t="s">
        <v>58</v>
      </c>
      <c r="G39" s="14">
        <f>IF(I30=1,0,MIN(C6,32))</f>
        <v>15</v>
      </c>
      <c r="H39" s="14">
        <v>0</v>
      </c>
      <c r="I39" s="14">
        <f>IF(I30=0,0,MIN(C6,32))</f>
        <v>0</v>
      </c>
      <c r="J39" s="14">
        <f>IF(L30=1,0,MAX(C6-32,0))</f>
        <v>0</v>
      </c>
      <c r="K39" s="14">
        <v>0</v>
      </c>
      <c r="L39" s="14">
        <f>IF(L30=0,0,MAX(C6-32,0))</f>
        <v>0</v>
      </c>
      <c r="M39" s="14">
        <v>0</v>
      </c>
    </row>
    <row r="40" spans="2:13" ht="12.75">
      <c r="B40" s="46" t="s">
        <v>69</v>
      </c>
      <c r="C40" s="47">
        <f t="shared" si="0"/>
        <v>0</v>
      </c>
      <c r="D40" s="63"/>
      <c r="E40" s="61">
        <f t="shared" si="1"/>
      </c>
      <c r="F40" s="112" t="s">
        <v>58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14">
        <f>C21-C22</f>
        <v>0</v>
      </c>
    </row>
    <row r="41" spans="2:13" ht="12.75">
      <c r="B41" s="46" t="s">
        <v>18</v>
      </c>
      <c r="C41" s="47">
        <f t="shared" si="0"/>
        <v>4</v>
      </c>
      <c r="D41" s="63"/>
      <c r="E41" s="61">
        <f t="shared" si="1"/>
      </c>
      <c r="F41" s="112" t="s">
        <v>58</v>
      </c>
      <c r="G41" s="76">
        <f>IF(M43=0,C7,0)</f>
        <v>4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 ht="12.75">
      <c r="B42" s="46" t="s">
        <v>19</v>
      </c>
      <c r="C42" s="47">
        <f t="shared" si="0"/>
        <v>0</v>
      </c>
      <c r="D42" s="63"/>
      <c r="E42" s="61">
        <f t="shared" si="1"/>
      </c>
      <c r="F42" s="112" t="s">
        <v>58</v>
      </c>
      <c r="G42" s="15"/>
      <c r="H42" s="82"/>
      <c r="I42" s="82"/>
      <c r="J42" s="82"/>
      <c r="K42" s="82"/>
      <c r="L42" s="82"/>
      <c r="M42" s="83">
        <f>IF(M43=0,0,C7)</f>
        <v>0</v>
      </c>
    </row>
    <row r="43" spans="2:15" ht="12.75">
      <c r="B43" s="39" t="s">
        <v>51</v>
      </c>
      <c r="C43" s="47">
        <f t="shared" si="0"/>
        <v>0</v>
      </c>
      <c r="D43" s="63"/>
      <c r="E43" s="61">
        <f t="shared" si="1"/>
      </c>
      <c r="F43" s="112" t="s">
        <v>58</v>
      </c>
      <c r="G43" s="80"/>
      <c r="H43" s="8"/>
      <c r="I43" s="8"/>
      <c r="J43" s="8"/>
      <c r="K43" s="8"/>
      <c r="L43" s="8"/>
      <c r="M43" s="81">
        <f>H69</f>
        <v>0</v>
      </c>
      <c r="O43" s="37"/>
    </row>
    <row r="44" spans="2:13" ht="13.5" thickBot="1">
      <c r="B44" s="113"/>
      <c r="C44" s="114"/>
      <c r="D44" s="64"/>
      <c r="E44" s="61">
        <f t="shared" si="1"/>
      </c>
      <c r="F44" s="111"/>
      <c r="G44" s="66"/>
      <c r="H44" s="67"/>
      <c r="I44" s="67"/>
      <c r="J44" s="67"/>
      <c r="K44" s="67"/>
      <c r="L44" s="67"/>
      <c r="M44" s="68"/>
    </row>
    <row r="45" spans="2:14" ht="14.25" customHeight="1" thickBot="1">
      <c r="B45" s="118" t="s">
        <v>39</v>
      </c>
      <c r="C45" s="119"/>
      <c r="D45" s="119"/>
      <c r="E45" s="62">
        <f>IF(SUM(E30:E44)&gt;0,SUM(E30:E44),"")</f>
      </c>
      <c r="F45" s="111"/>
      <c r="H45" s="3"/>
      <c r="I45" s="3"/>
      <c r="J45" s="3"/>
      <c r="K45" s="3"/>
      <c r="L45" s="3"/>
      <c r="M45" s="3"/>
      <c r="N45" s="3"/>
    </row>
    <row r="46" ht="12.75"/>
    <row r="47" ht="16.5" thickBot="1">
      <c r="B47" s="90" t="s">
        <v>43</v>
      </c>
    </row>
    <row r="48" spans="2:13" ht="13.5" thickTop="1">
      <c r="B48" s="57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</row>
    <row r="49" spans="2:13" ht="12.75">
      <c r="B49" s="77" t="str">
        <f>IF(B50&gt;0,"DVR","")</f>
        <v>DVR</v>
      </c>
      <c r="C49" s="78" t="str">
        <f>IF(C50&gt;0,"Camera","")</f>
        <v>Camera</v>
      </c>
      <c r="D49" s="78">
        <f>IF(D50&gt;0,"Video Link In","")</f>
      </c>
      <c r="E49" s="8"/>
      <c r="F49" s="8"/>
      <c r="G49" s="8"/>
      <c r="H49" s="8"/>
      <c r="I49" s="8"/>
      <c r="J49" s="78">
        <f>IF(J50&gt;0,"Camera","")</f>
      </c>
      <c r="K49" s="78">
        <f>IF(K50&gt;0,"Video Link In","")</f>
      </c>
      <c r="L49" s="78">
        <f>IF(L50&gt;0,"DVR","")</f>
      </c>
      <c r="M49" s="56"/>
    </row>
    <row r="50" spans="2:13" ht="12.75">
      <c r="B50" s="77">
        <f>MIN(C22,E53-C50)</f>
        <v>11</v>
      </c>
      <c r="C50" s="78">
        <f>MIN(C5,D54*32-MIN(C22,16))</f>
        <v>176</v>
      </c>
      <c r="D50" s="78">
        <f>MIN(H8,E53-(C50+B50))</f>
        <v>0</v>
      </c>
      <c r="E50" s="8"/>
      <c r="F50" s="8"/>
      <c r="G50" s="8"/>
      <c r="H50" s="8"/>
      <c r="I50" s="55"/>
      <c r="J50" s="78">
        <f>C5-C50</f>
        <v>0</v>
      </c>
      <c r="K50" s="78">
        <f>H8-D50</f>
        <v>0</v>
      </c>
      <c r="L50" s="78">
        <f>C22-B50</f>
        <v>0</v>
      </c>
      <c r="M50" s="56"/>
    </row>
    <row r="51" spans="2:13" ht="12.75">
      <c r="B51" s="19"/>
      <c r="C51" s="27" t="str">
        <f>IF(C50=0,"","||")</f>
        <v>||</v>
      </c>
      <c r="D51" s="27">
        <f>IF(D50=0,"","||")</f>
      </c>
      <c r="E51" s="8"/>
      <c r="F51" s="8"/>
      <c r="G51" s="8"/>
      <c r="H51" s="8"/>
      <c r="I51" s="55"/>
      <c r="J51" s="27">
        <f>IF(J50=0,"","||")</f>
      </c>
      <c r="K51" s="27">
        <f>IF(K50=0,"","||")</f>
      </c>
      <c r="L51" s="8"/>
      <c r="M51" s="53"/>
    </row>
    <row r="52" spans="2:13" ht="13.5" thickBot="1">
      <c r="B52" s="6"/>
      <c r="C52" s="27" t="str">
        <f>IF(C50=0,"","V")</f>
        <v>V</v>
      </c>
      <c r="D52" s="27">
        <f>IF(D50=0,"","V")</f>
      </c>
      <c r="E52" s="8"/>
      <c r="F52" s="8"/>
      <c r="G52" s="8"/>
      <c r="H52" s="8"/>
      <c r="I52" s="55"/>
      <c r="J52" s="27">
        <f>IF(J50=0,"","V")</f>
      </c>
      <c r="K52" s="27">
        <f>IF(K50=0,"","V")</f>
      </c>
      <c r="L52" s="8"/>
      <c r="M52" s="53"/>
    </row>
    <row r="53" spans="2:13" ht="13.5" thickBot="1">
      <c r="B53" s="6"/>
      <c r="C53" s="24" t="s">
        <v>3</v>
      </c>
      <c r="D53" s="32" t="str">
        <f>CONCATENATE(E53,"Inputs")</f>
        <v>187Inputs</v>
      </c>
      <c r="E53" s="21">
        <f>IF(C24&lt;=256,C24,D54*32)</f>
        <v>187</v>
      </c>
      <c r="F53" s="21"/>
      <c r="G53" s="8"/>
      <c r="H53" s="8"/>
      <c r="I53" s="8"/>
      <c r="J53" s="25">
        <f>IF(K53&lt;&gt;"","MXSW12","")</f>
      </c>
      <c r="K53" s="33">
        <f>IF(C23&gt;8,CONCATENATE(L53,"Inputs"),"")</f>
      </c>
      <c r="L53" s="21">
        <f>IF(C23&gt;8,C24-E53,0)</f>
        <v>0</v>
      </c>
      <c r="M53" s="28"/>
    </row>
    <row r="54" spans="2:13" ht="12.75">
      <c r="B54" s="51" t="str">
        <f>IF(B50&gt;0,"====&gt;","")</f>
        <v>====&gt;</v>
      </c>
      <c r="C54" s="23" t="s">
        <v>6</v>
      </c>
      <c r="D54" s="9">
        <f>IF(AND(D55=2,OR(C23=10,C23=11,C23=13,C23=14)),7,MIN(C23,8))</f>
        <v>6</v>
      </c>
      <c r="E54" s="8"/>
      <c r="F54" s="8"/>
      <c r="G54" s="22">
        <f>IF(H54="Required","BRIDGE1","")</f>
      </c>
      <c r="H54" s="7">
        <f>IF(C23&gt;8,"Required","")</f>
      </c>
      <c r="I54" s="8"/>
      <c r="J54" s="23">
        <f>IF(K53&lt;&gt;"","Input Board","")</f>
      </c>
      <c r="K54" s="9">
        <f>IF(C23&gt;8,C23-D54,0)</f>
        <v>0</v>
      </c>
      <c r="L54" s="8">
        <f>IF(L50=0,"","&lt;====")</f>
      </c>
      <c r="M54" s="53"/>
    </row>
    <row r="55" spans="2:13" ht="12.75">
      <c r="B55" s="52" t="str">
        <f aca="true" t="shared" si="3" ref="B55:B65">IF(B$50&gt;0,"                                  ||","")</f>
        <v>                                  ||</v>
      </c>
      <c r="C55" s="23" t="s">
        <v>7</v>
      </c>
      <c r="D55" s="9">
        <f>IF(OR(C25&gt;16,AND(H69=0,OR(C21&gt;8,(ROUNDUP(C7/4,0)+ROUNDUP(C21/4,0))&gt;4))),2,ROUNDUP(C25/16,0))</f>
        <v>2</v>
      </c>
      <c r="E55" s="105" t="str">
        <f>IF(H54="Required","       =======&gt;",IF(C6&gt;0,CONCATENATE(" =&gt; Monitor ",MIN(C6,32)),""))</f>
        <v> =&gt; Monitor 15</v>
      </c>
      <c r="F55" s="105"/>
      <c r="G55" s="23">
        <f>IF(H54="Required","Input Board","")</f>
      </c>
      <c r="H55" s="9">
        <f>IF(H54="Required",2,0)</f>
        <v>0</v>
      </c>
      <c r="I55" s="27">
        <f>IF(H54="Required"," &lt;=======","")</f>
      </c>
      <c r="J55" s="23">
        <f>IF(K53&lt;&gt;"","Output Board","")</f>
      </c>
      <c r="K55" s="9">
        <f>IF(K53&lt;&gt;"",D55,0)</f>
        <v>0</v>
      </c>
      <c r="L55" s="27">
        <f>IF(L50=0,"","    ||")</f>
      </c>
      <c r="M55" s="56"/>
    </row>
    <row r="56" spans="2:13" ht="13.5" thickBot="1">
      <c r="B56" s="52" t="str">
        <f t="shared" si="3"/>
        <v>                                  ||</v>
      </c>
      <c r="C56" s="26" t="s">
        <v>8</v>
      </c>
      <c r="D56" s="10">
        <f>ROUNDUP((D54+D55)/3,0)</f>
        <v>3</v>
      </c>
      <c r="E56" s="8">
        <f>IF(AND(H54&lt;&gt;"Required",H9&gt;0,32-C6&gt;0),CONCATENATE(" =&gt; V.Link Out ",MIN(H9,32-C6)),"")</f>
      </c>
      <c r="F56" s="8"/>
      <c r="G56" s="23">
        <f>IF(H54="Required","Output Board","")</f>
      </c>
      <c r="H56" s="9">
        <f>IF(H54="Required",D55,0)</f>
        <v>0</v>
      </c>
      <c r="I56" s="8">
        <f>IF(AND(H54="Required",C6&gt;0),CONCATENATE(" =&gt; Monitor ",MIN(C6,32)),"")</f>
      </c>
      <c r="J56" s="26">
        <f>IF(K53&lt;&gt;"","Cage","")</f>
      </c>
      <c r="K56" s="10">
        <f>ROUNDUP((K54+K55)/3,0)</f>
        <v>0</v>
      </c>
      <c r="L56" s="27">
        <f>IF(L50=0,"","    ||")</f>
      </c>
      <c r="M56" s="56"/>
    </row>
    <row r="57" spans="2:13" ht="13.5" thickBot="1">
      <c r="B57" s="52" t="str">
        <f t="shared" si="3"/>
        <v>                                  ||</v>
      </c>
      <c r="C57" s="27" t="str">
        <f>IF(OR(C50&gt;0,C25&gt;32),"||","")</f>
        <v>||</v>
      </c>
      <c r="D57" s="8"/>
      <c r="E57" s="8"/>
      <c r="F57" s="8"/>
      <c r="G57" s="26">
        <f>IF(H54="Required","Cage","")</f>
      </c>
      <c r="H57" s="10">
        <f>ROUNDUP((H55+H56)/3,0)</f>
        <v>0</v>
      </c>
      <c r="I57" s="104">
        <f>IF(AND(H54="Required",H9&gt;0,32-C6&gt;0),CONCATENATE(" =&gt; V.Link Out ",MIN(H9,32-C6)),"")</f>
      </c>
      <c r="J57" s="27">
        <f>IF(C23&gt;8,IF(OR(J50&gt;0,C25&gt;32),"||",""),"")</f>
      </c>
      <c r="K57" s="21"/>
      <c r="L57" s="27">
        <f>IF(L50=0,"","    ||")</f>
      </c>
      <c r="M57" s="56"/>
    </row>
    <row r="58" spans="2:13" ht="13.5" thickBot="1">
      <c r="B58" s="52" t="str">
        <f t="shared" si="3"/>
        <v>                                  ||</v>
      </c>
      <c r="C58" s="27" t="str">
        <f>IF(D59="Required","V",IF(C50&gt;0,"||",""))</f>
        <v>||</v>
      </c>
      <c r="D58" s="8"/>
      <c r="E58" s="8"/>
      <c r="F58" s="8"/>
      <c r="G58" s="8"/>
      <c r="H58" s="8"/>
      <c r="I58" s="8"/>
      <c r="J58" s="27">
        <f>IF(AND(C23&gt;8,C25&gt;32),"V",IF(C23&gt;8,IF(OR(J50&gt;0,C25&gt;32),"||",""),""))</f>
      </c>
      <c r="K58" s="21"/>
      <c r="L58" s="27">
        <f>IF(L50=0,"","    ||")</f>
      </c>
      <c r="M58" s="56"/>
    </row>
    <row r="59" spans="2:13" ht="13.5" thickBot="1">
      <c r="B59" s="52" t="str">
        <f t="shared" si="3"/>
        <v>                                  ||</v>
      </c>
      <c r="C59" s="48" t="str">
        <f>IF(D59="Required","MXSW21",IF(C50&gt;0,"||",""))</f>
        <v>||</v>
      </c>
      <c r="D59" s="33">
        <f>IF(C25&gt;32,"Required","")</f>
      </c>
      <c r="E59" s="8"/>
      <c r="F59" s="8"/>
      <c r="G59" s="8"/>
      <c r="H59" s="8"/>
      <c r="I59" s="8"/>
      <c r="J59" s="49">
        <f>IF(K59="Required","MXSW22",IF(J50&gt;0,"||",""))</f>
      </c>
      <c r="K59" s="33">
        <f>IF(AND(C23&gt;8,C25&gt;32),"Required","")</f>
      </c>
      <c r="L59" s="27">
        <f>IF(L50=0,"","    ||")</f>
      </c>
      <c r="M59" s="56"/>
    </row>
    <row r="60" spans="2:13" ht="12.75">
      <c r="B60" s="52" t="str">
        <f t="shared" si="3"/>
        <v>                                  ||</v>
      </c>
      <c r="C60" s="23" t="str">
        <f>IF(D59="Required","Input Board",IF(C50&gt;0,"||",""))</f>
        <v>||</v>
      </c>
      <c r="D60" s="9">
        <f>IF(D59="Required",D54,0)</f>
        <v>0</v>
      </c>
      <c r="E60" s="8"/>
      <c r="F60" s="8"/>
      <c r="G60" s="22">
        <f>IF(H60="Required","BRIDGE2","")</f>
      </c>
      <c r="H60" s="7">
        <f>IF(AND(C23&gt;8,C25&gt;32),"Required","")</f>
      </c>
      <c r="I60" s="8"/>
      <c r="J60" s="23">
        <f>IF(K59="Required","Input Board",IF(J50&gt;0,"||",""))</f>
      </c>
      <c r="K60" s="9">
        <f>IF(K59="Required",K54,0)</f>
        <v>0</v>
      </c>
      <c r="L60" s="27">
        <f>IF(L50=0,"","    ||")</f>
      </c>
      <c r="M60" s="56"/>
    </row>
    <row r="61" spans="2:13" ht="12.75">
      <c r="B61" s="52" t="str">
        <f t="shared" si="3"/>
        <v>                                  ||</v>
      </c>
      <c r="C61" s="23" t="str">
        <f>IF(D59="Required","Output Board",IF(C50&gt;0,"||",""))</f>
        <v>||</v>
      </c>
      <c r="D61" s="9">
        <f>IF(D59="Required",ROUNDUP((C25-32)/16,0),0)</f>
        <v>0</v>
      </c>
      <c r="E61" s="104">
        <f>IF(D59="Required",IF(H60="Required","       =======&gt;",IF(AND(H60&lt;&gt;"Required",C6-32&gt;0),CONCATENATE(" =&gt; Monitor ",C6-32),"")),"")</f>
      </c>
      <c r="F61" s="104"/>
      <c r="G61" s="23">
        <f>IF(H60="Required","Input Board","")</f>
      </c>
      <c r="H61" s="9">
        <f>IF(H60="Required",2,0)</f>
        <v>0</v>
      </c>
      <c r="I61" s="27">
        <f>IF(H60="Required"," &lt;=======","")</f>
      </c>
      <c r="J61" s="23">
        <f>IF(K59="Required","Output Board",IF(J50&gt;0,"||",""))</f>
      </c>
      <c r="K61" s="9">
        <f>IF(K59="Required",D61,0)</f>
        <v>0</v>
      </c>
      <c r="L61" s="27">
        <f>IF(L50=0,"","    ||")</f>
      </c>
      <c r="M61" s="56"/>
    </row>
    <row r="62" spans="2:13" ht="13.5" thickBot="1">
      <c r="B62" s="52" t="str">
        <f t="shared" si="3"/>
        <v>                                  ||</v>
      </c>
      <c r="C62" s="26" t="str">
        <f>IF(D59="Required","Cage",IF(C50&gt;0,"||",""))</f>
        <v>||</v>
      </c>
      <c r="D62" s="10">
        <f>ROUNDUP((D60+D61)/3,0)</f>
        <v>0</v>
      </c>
      <c r="E62" s="8">
        <f>IF(AND(D59="Required",H60&lt;&gt;"Required",H9&gt;0),CONCATENATE(" =&gt; V.Link Out ",IF(C6&gt;=32,H9,H9-MIN(H9,32-C6))),"")</f>
      </c>
      <c r="F62" s="8"/>
      <c r="G62" s="23">
        <f>IF(H60="Required","Output Board","")</f>
      </c>
      <c r="H62" s="9">
        <f>IF(H60="Required",D61,0)</f>
        <v>0</v>
      </c>
      <c r="I62" s="8">
        <f>IF(AND(H60="Required",C6-32&gt;0),CONCATENATE(" =&gt; Monitor ",C6-32),"")</f>
      </c>
      <c r="J62" s="26">
        <f>IF(K59="Required","Cage",IF(J50&gt;0,"||",""))</f>
      </c>
      <c r="K62" s="10">
        <f>ROUNDUP((K60+K61)/3,0)</f>
        <v>0</v>
      </c>
      <c r="L62" s="27">
        <f>IF(L50=0,"","    ||")</f>
      </c>
      <c r="M62" s="56"/>
    </row>
    <row r="63" spans="2:13" ht="13.5" thickBot="1">
      <c r="B63" s="52" t="str">
        <f t="shared" si="3"/>
        <v>                                  ||</v>
      </c>
      <c r="C63" s="27" t="str">
        <f>IF(C50&gt;0,"||","")</f>
        <v>||</v>
      </c>
      <c r="D63" s="8"/>
      <c r="E63" s="8"/>
      <c r="F63" s="8"/>
      <c r="G63" s="26">
        <f>IF(H60="Required","Cage","")</f>
      </c>
      <c r="H63" s="10">
        <f>ROUNDUP((H61+H62)/3,0)</f>
        <v>0</v>
      </c>
      <c r="I63" s="104">
        <f>IF(AND(H60="Required",H9&gt;0),CONCATENATE(" =&gt; V.Link Out ",IF(C6&gt;=32,H9,H9-MIN(H9,32-C6))),"")</f>
      </c>
      <c r="J63" s="27">
        <f>IF(J50&gt;0,"||","")</f>
      </c>
      <c r="K63" s="8"/>
      <c r="L63" s="27">
        <f>IF(L50=0,"","    ||")</f>
      </c>
      <c r="M63" s="56"/>
    </row>
    <row r="64" spans="2:13" ht="13.5" thickBot="1">
      <c r="B64" s="52" t="str">
        <f t="shared" si="3"/>
        <v>                                  ||</v>
      </c>
      <c r="C64" s="27" t="str">
        <f>IF(C50&gt;0,"V","")</f>
        <v>V</v>
      </c>
      <c r="D64" s="8"/>
      <c r="E64" s="8"/>
      <c r="F64" s="8"/>
      <c r="G64" s="8"/>
      <c r="H64" s="8"/>
      <c r="I64" s="8"/>
      <c r="J64" s="27">
        <f>IF(J50&gt;0,"V","")</f>
      </c>
      <c r="K64" s="8"/>
      <c r="L64" s="27">
        <f>IF(L50=0,"","    ||")</f>
      </c>
      <c r="M64" s="56"/>
    </row>
    <row r="65" spans="2:13" ht="12.75">
      <c r="B65" s="52" t="str">
        <f t="shared" si="3"/>
        <v>                                  ||</v>
      </c>
      <c r="C65" s="49" t="str">
        <f>IF(C21&gt;0,"REC","")</f>
        <v>REC</v>
      </c>
      <c r="D65" s="59">
        <f>IF(C21=0,"  ",IF(J53="MXSW12"," ",""))</f>
      </c>
      <c r="E65" s="91">
        <f>IF(C21=0,"  ",IF(J53="MXSW12"," ",""))</f>
      </c>
      <c r="F65" s="34" t="str">
        <f>IF(AND(C21&gt;0,J53="MXSW12"),""," ")</f>
        <v> </v>
      </c>
      <c r="G65" s="34" t="str">
        <f>IF(AND(C21&gt;0,J53="MXSW12"),""," ")</f>
        <v> </v>
      </c>
      <c r="H65" s="34" t="str">
        <f>IF(AND(C21&gt;0,J53="MXSW12"),""," ")</f>
        <v> </v>
      </c>
      <c r="I65" s="34" t="str">
        <f>IF(AND(C21&gt;0,J53="MXSW12"),""," ")</f>
        <v> </v>
      </c>
      <c r="J65" s="34" t="str">
        <f>IF(AND(C21&gt;0,J53="MXSW12"),""," ")</f>
        <v> </v>
      </c>
      <c r="K65" s="35" t="str">
        <f>IF(AND(C21&gt;0,J53="MXSW12"),""," ")</f>
        <v> </v>
      </c>
      <c r="L65" s="50">
        <f>IF(L50=0,"","    ||")</f>
      </c>
      <c r="M65" s="58"/>
    </row>
    <row r="66" spans="2:13" ht="13.5" thickBot="1">
      <c r="B66" s="51" t="str">
        <f>IF(B50&gt;0,"=====","")</f>
        <v>=====</v>
      </c>
      <c r="C66" s="26" t="str">
        <f>IF(C21&gt;0,CONCATENATE(C15,"ch DVR"),"")</f>
        <v>16ch DVR</v>
      </c>
      <c r="D66" s="36">
        <f>C21</f>
        <v>11</v>
      </c>
      <c r="E66" s="92">
        <f>IF(C21=0,"  ",IF(J53="MXSW12"," ",""))</f>
      </c>
      <c r="F66" s="93" t="str">
        <f>IF(AND(C21&gt;0,J53="MXSW12"),""," ")</f>
        <v> </v>
      </c>
      <c r="G66" s="93" t="str">
        <f>IF(AND(C21&gt;0,J53="MXSW12"),""," ")</f>
        <v> </v>
      </c>
      <c r="H66" s="93" t="str">
        <f>IF(AND(C21&gt;0,J53="MXSW12"),""," ")</f>
        <v> </v>
      </c>
      <c r="I66" s="93" t="str">
        <f>IF(AND(C21&gt;0,J53="MXSW12"),""," ")</f>
        <v> </v>
      </c>
      <c r="J66" s="93" t="str">
        <f>IF(AND(C21&gt;0,J53="MXSW12"),""," ")</f>
        <v> </v>
      </c>
      <c r="K66" s="94" t="str">
        <f>IF(AND(C21&gt;0,J53="MXSW12"),""," ")</f>
        <v> </v>
      </c>
      <c r="L66" s="71">
        <f>IF(L50=0,"","=====")</f>
      </c>
      <c r="M66" s="54"/>
    </row>
    <row r="67" spans="2:13" ht="13.5" thickBot="1">
      <c r="B67" s="18"/>
      <c r="C67" s="27">
        <f>IF(AND(C50&gt;0,C22=0),"||","")</f>
      </c>
      <c r="D67" s="8"/>
      <c r="E67" s="8"/>
      <c r="F67" s="8"/>
      <c r="G67" s="8"/>
      <c r="H67" s="8"/>
      <c r="I67" s="8"/>
      <c r="J67" s="8"/>
      <c r="K67" s="8"/>
      <c r="L67" s="72"/>
      <c r="M67" s="17"/>
    </row>
    <row r="68" spans="2:13" ht="12.75">
      <c r="B68" s="20"/>
      <c r="C68" s="27">
        <f>IF(AND(C50&gt;0,C22=0),"V","")</f>
      </c>
      <c r="D68" s="31"/>
      <c r="E68" s="8"/>
      <c r="F68" s="8"/>
      <c r="G68" s="22">
        <f>IF(H68="Required","IP Matrix Server","")</f>
      </c>
      <c r="H68" s="7">
        <f>IF(OR(C23&gt;8,C25&gt;32,C7&gt;16,H8&gt;0,H9&gt;0),"Required","")</f>
      </c>
      <c r="I68" s="8"/>
      <c r="J68" s="22"/>
      <c r="K68" s="33"/>
      <c r="L68" s="73"/>
      <c r="M68" s="16"/>
    </row>
    <row r="69" spans="2:13" ht="13.5" thickBot="1">
      <c r="B69" s="29"/>
      <c r="C69" s="30">
        <f>IF(AND(C50&gt;0,C22=0),CONCATENATE("Monitors for DVR ",D66),"")</f>
      </c>
      <c r="D69" s="31"/>
      <c r="E69" s="8"/>
      <c r="F69" s="8"/>
      <c r="G69" s="26">
        <f>IF(H68="Required","WV-ASC970","")</f>
      </c>
      <c r="H69" s="10">
        <f>IF(H68="Required",IF(H5="No",1,2),0)</f>
        <v>0</v>
      </c>
      <c r="I69" s="8"/>
      <c r="J69" s="26"/>
      <c r="K69" s="10"/>
      <c r="L69" s="72"/>
      <c r="M69" s="17"/>
    </row>
    <row r="70" spans="2:13" ht="12.75">
      <c r="B70" s="29"/>
      <c r="C70" s="27"/>
      <c r="D70" s="8"/>
      <c r="E70" s="8"/>
      <c r="F70" s="8"/>
      <c r="G70" s="8"/>
      <c r="H70" s="8">
        <f>IF(H69=2,"(Redundant)","")</f>
      </c>
      <c r="I70" s="8"/>
      <c r="J70" s="27"/>
      <c r="K70" s="8"/>
      <c r="L70" s="72"/>
      <c r="M70" s="17"/>
    </row>
    <row r="71" spans="2:13" ht="13.5" thickBot="1">
      <c r="B71" s="11" t="s">
        <v>45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</row>
    <row r="72" ht="13.5" thickTop="1"/>
  </sheetData>
  <sheetProtection sheet="1" objects="1" scenarios="1"/>
  <mergeCells count="2">
    <mergeCell ref="B45:D45"/>
    <mergeCell ref="B1:D1"/>
  </mergeCells>
  <conditionalFormatting sqref="D66 H67 K67 H55:H57 H61:H63 D60:D62 K60:K62 K54:K56 K69:K70 H69:H70">
    <cfRule type="cellIs" priority="1" dxfId="0" operator="equal" stopIfTrue="1">
      <formula>0</formula>
    </cfRule>
  </conditionalFormatting>
  <conditionalFormatting sqref="B50:D50 J50:M50">
    <cfRule type="cellIs" priority="2" dxfId="1" operator="equal" stopIfTrue="1">
      <formula>0</formula>
    </cfRule>
  </conditionalFormatting>
  <conditionalFormatting sqref="J67 G67 J54:J56 G69:G70 G62:G63 J69:J70 C66 G55:G57">
    <cfRule type="cellIs" priority="3" dxfId="0" operator="equal" stopIfTrue="1">
      <formula>""</formula>
    </cfRule>
  </conditionalFormatting>
  <conditionalFormatting sqref="K59 H54 H60 H68 D59 K68">
    <cfRule type="cellIs" priority="4" dxfId="2" operator="equal" stopIfTrue="1">
      <formula>"Required"</formula>
    </cfRule>
    <cfRule type="cellIs" priority="5" dxfId="0" operator="notEqual" stopIfTrue="1">
      <formula>"Required"</formula>
    </cfRule>
  </conditionalFormatting>
  <conditionalFormatting sqref="G54">
    <cfRule type="cellIs" priority="6" dxfId="2" operator="equal" stopIfTrue="1">
      <formula>"BRIDGE1"</formula>
    </cfRule>
    <cfRule type="cellIs" priority="7" dxfId="0" operator="equal" stopIfTrue="1">
      <formula>""</formula>
    </cfRule>
  </conditionalFormatting>
  <conditionalFormatting sqref="J53">
    <cfRule type="cellIs" priority="8" dxfId="3" operator="equal" stopIfTrue="1">
      <formula>"MXSW12"</formula>
    </cfRule>
    <cfRule type="cellIs" priority="9" dxfId="0" operator="equal" stopIfTrue="1">
      <formula>""</formula>
    </cfRule>
  </conditionalFormatting>
  <conditionalFormatting sqref="G60">
    <cfRule type="cellIs" priority="10" dxfId="3" operator="equal" stopIfTrue="1">
      <formula>"BRIDGE2"</formula>
    </cfRule>
    <cfRule type="cellIs" priority="11" dxfId="0" operator="equal" stopIfTrue="1">
      <formula>""</formula>
    </cfRule>
  </conditionalFormatting>
  <conditionalFormatting sqref="K57:K58">
    <cfRule type="cellIs" priority="12" dxfId="4" operator="equal" stopIfTrue="1">
      <formula>1</formula>
    </cfRule>
  </conditionalFormatting>
  <conditionalFormatting sqref="J59">
    <cfRule type="cellIs" priority="13" dxfId="3" operator="equal" stopIfTrue="1">
      <formula>"MXSW22"</formula>
    </cfRule>
    <cfRule type="cellIs" priority="14" dxfId="0" operator="equal" stopIfTrue="1">
      <formula>""</formula>
    </cfRule>
    <cfRule type="cellIs" priority="15" dxfId="0" operator="equal" stopIfTrue="1">
      <formula>"||"</formula>
    </cfRule>
  </conditionalFormatting>
  <conditionalFormatting sqref="J60:J62">
    <cfRule type="cellIs" priority="16" dxfId="0" operator="equal" stopIfTrue="1">
      <formula>""</formula>
    </cfRule>
    <cfRule type="cellIs" priority="17" dxfId="0" operator="equal" stopIfTrue="1">
      <formula>"||"</formula>
    </cfRule>
  </conditionalFormatting>
  <conditionalFormatting sqref="K53">
    <cfRule type="cellIs" priority="18" dxfId="3" operator="notEqual" stopIfTrue="1">
      <formula>""</formula>
    </cfRule>
    <cfRule type="cellIs" priority="19" dxfId="0" operator="notEqual" stopIfTrue="1">
      <formula>"Required"</formula>
    </cfRule>
  </conditionalFormatting>
  <conditionalFormatting sqref="G61">
    <cfRule type="cellIs" priority="20" dxfId="0" operator="equal" stopIfTrue="1">
      <formula>"Monitor"</formula>
    </cfRule>
    <cfRule type="cellIs" priority="21" dxfId="0" operator="equal" stopIfTrue="1">
      <formula>""</formula>
    </cfRule>
  </conditionalFormatting>
  <conditionalFormatting sqref="J68">
    <cfRule type="cellIs" priority="22" dxfId="3" operator="equal" stopIfTrue="1">
      <formula>"Upgrade Soft"</formula>
    </cfRule>
    <cfRule type="cellIs" priority="23" dxfId="0" operator="equal" stopIfTrue="1">
      <formula>""</formula>
    </cfRule>
  </conditionalFormatting>
  <conditionalFormatting sqref="C59">
    <cfRule type="cellIs" priority="24" dxfId="3" operator="equal" stopIfTrue="1">
      <formula>"MXSW21"</formula>
    </cfRule>
    <cfRule type="cellIs" priority="25" dxfId="0" operator="notEqual" stopIfTrue="1">
      <formula>"MXSW21"</formula>
    </cfRule>
  </conditionalFormatting>
  <conditionalFormatting sqref="C60">
    <cfRule type="cellIs" priority="26" dxfId="0" operator="notEqual" stopIfTrue="1">
      <formula>"Input Board"</formula>
    </cfRule>
  </conditionalFormatting>
  <conditionalFormatting sqref="C61">
    <cfRule type="cellIs" priority="27" dxfId="0" operator="notEqual" stopIfTrue="1">
      <formula>"Output Board"</formula>
    </cfRule>
  </conditionalFormatting>
  <conditionalFormatting sqref="C62">
    <cfRule type="cellIs" priority="28" dxfId="0" operator="notEqual" stopIfTrue="1">
      <formula>"Cage"</formula>
    </cfRule>
  </conditionalFormatting>
  <conditionalFormatting sqref="F65:K65">
    <cfRule type="cellIs" priority="29" dxfId="2" operator="equal" stopIfTrue="1">
      <formula>""</formula>
    </cfRule>
    <cfRule type="cellIs" priority="30" dxfId="5" operator="notEqual" stopIfTrue="1">
      <formula>""</formula>
    </cfRule>
  </conditionalFormatting>
  <conditionalFormatting sqref="C65 G68">
    <cfRule type="cellIs" priority="31" dxfId="3" operator="notEqual" stopIfTrue="1">
      <formula>""</formula>
    </cfRule>
    <cfRule type="cellIs" priority="32" dxfId="0" operator="equal" stopIfTrue="1">
      <formula>""</formula>
    </cfRule>
  </conditionalFormatting>
  <conditionalFormatting sqref="F66:K66">
    <cfRule type="cellIs" priority="33" dxfId="6" operator="equal" stopIfTrue="1">
      <formula>""</formula>
    </cfRule>
    <cfRule type="cellIs" priority="34" dxfId="5" operator="notEqual" stopIfTrue="1">
      <formula>""</formula>
    </cfRule>
  </conditionalFormatting>
  <conditionalFormatting sqref="D65">
    <cfRule type="cellIs" priority="35" dxfId="2" operator="equal" stopIfTrue="1">
      <formula>""</formula>
    </cfRule>
    <cfRule type="cellIs" priority="36" dxfId="7" operator="equal" stopIfTrue="1">
      <formula>" "</formula>
    </cfRule>
    <cfRule type="cellIs" priority="37" dxfId="0" operator="equal" stopIfTrue="1">
      <formula>"  "</formula>
    </cfRule>
  </conditionalFormatting>
  <conditionalFormatting sqref="E65">
    <cfRule type="cellIs" priority="38" dxfId="8" operator="equal" stopIfTrue="1">
      <formula>""</formula>
    </cfRule>
    <cfRule type="cellIs" priority="39" dxfId="9" operator="equal" stopIfTrue="1">
      <formula>" "</formula>
    </cfRule>
    <cfRule type="cellIs" priority="40" dxfId="0" operator="equal" stopIfTrue="1">
      <formula>"  "</formula>
    </cfRule>
  </conditionalFormatting>
  <conditionalFormatting sqref="E66">
    <cfRule type="cellIs" priority="41" dxfId="8" operator="equal" stopIfTrue="1">
      <formula>""</formula>
    </cfRule>
    <cfRule type="cellIs" priority="42" dxfId="10" operator="equal" stopIfTrue="1">
      <formula>" "</formula>
    </cfRule>
    <cfRule type="cellIs" priority="43" dxfId="0" operator="equal" stopIfTrue="1">
      <formula>"  "</formula>
    </cfRule>
  </conditionalFormatting>
  <dataValidations count="7">
    <dataValidation type="whole" allowBlank="1" showInputMessage="1" showErrorMessage="1" sqref="C5">
      <formula1>0</formula1>
      <formula2>C19</formula2>
    </dataValidation>
    <dataValidation type="whole" showInputMessage="1" showErrorMessage="1" sqref="C7">
      <formula1>0</formula1>
      <formula2>C14</formula2>
    </dataValidation>
    <dataValidation type="whole" allowBlank="1" showInputMessage="1" showErrorMessage="1" sqref="C6">
      <formula1>0</formula1>
      <formula2>C13</formula2>
    </dataValidation>
    <dataValidation type="whole" allowBlank="1" showInputMessage="1" showErrorMessage="1" sqref="H9">
      <formula1>0</formula1>
      <formula2>C12-C6</formula2>
    </dataValidation>
    <dataValidation type="whole" allowBlank="1" showInputMessage="1" showErrorMessage="1" sqref="H8">
      <formula1>0</formula1>
      <formula2>C11-C5-C22</formula2>
    </dataValidation>
    <dataValidation type="list" showInputMessage="1" showErrorMessage="1" sqref="C9">
      <formula1>"Return to Matrix,To Ext. Monitors"</formula1>
    </dataValidation>
    <dataValidation type="list" allowBlank="1" showInputMessage="1" showErrorMessage="1" sqref="H5">
      <formula1>"Yes,No"</formula1>
    </dataValidation>
  </dataValidations>
  <printOptions/>
  <pageMargins left="0.98" right="0.75" top="0.51" bottom="0.25" header="0.36" footer="0.14"/>
  <pageSetup fitToHeight="1" fitToWidth="1" horizontalDpi="600" verticalDpi="600" orientation="landscape" paperSize="9" scale="74" r:id="rId3"/>
  <headerFooter alignWithMargins="0">
    <oddHeader>&amp;R&amp;D　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workbookViewId="0" topLeftCell="A1">
      <selection activeCell="B2" sqref="B2"/>
    </sheetView>
  </sheetViews>
  <sheetFormatPr defaultColWidth="9.00390625" defaultRowHeight="13.5"/>
  <cols>
    <col min="1" max="1" width="2.00390625" style="0" customWidth="1"/>
    <col min="2" max="2" width="12.625" style="0" bestFit="1" customWidth="1"/>
    <col min="4" max="4" width="75.00390625" style="0" bestFit="1" customWidth="1"/>
  </cols>
  <sheetData>
    <row r="1" ht="13.5">
      <c r="B1" t="s">
        <v>57</v>
      </c>
    </row>
    <row r="2" spans="2:4" ht="13.5">
      <c r="B2" s="109" t="s">
        <v>56</v>
      </c>
      <c r="C2" s="109" t="s">
        <v>53</v>
      </c>
      <c r="D2" s="109" t="s">
        <v>55</v>
      </c>
    </row>
    <row r="3" spans="2:4" ht="13.5">
      <c r="B3" s="107">
        <v>39846</v>
      </c>
      <c r="C3" s="110">
        <v>1.8</v>
      </c>
      <c r="D3" s="106" t="s">
        <v>54</v>
      </c>
    </row>
    <row r="4" spans="2:4" ht="40.5">
      <c r="B4" s="107">
        <v>39876</v>
      </c>
      <c r="C4" s="110">
        <v>1.9</v>
      </c>
      <c r="D4" s="108" t="s">
        <v>66</v>
      </c>
    </row>
    <row r="5" spans="2:4" ht="54">
      <c r="B5" s="107">
        <v>40148</v>
      </c>
      <c r="C5" s="110">
        <v>2</v>
      </c>
      <c r="D5" s="108" t="s">
        <v>59</v>
      </c>
    </row>
    <row r="6" spans="2:4" ht="67.5">
      <c r="B6" s="107">
        <v>40173</v>
      </c>
      <c r="C6" s="110">
        <v>2.1</v>
      </c>
      <c r="D6" s="108" t="s">
        <v>65</v>
      </c>
    </row>
    <row r="7" spans="2:4" ht="27">
      <c r="B7" s="107">
        <v>40659</v>
      </c>
      <c r="C7" s="110">
        <v>2.2</v>
      </c>
      <c r="D7" s="108" t="s">
        <v>72</v>
      </c>
    </row>
    <row r="8" spans="2:4" ht="13.5">
      <c r="B8" s="106"/>
      <c r="C8" s="106"/>
      <c r="D8" s="106"/>
    </row>
    <row r="9" spans="2:4" ht="13.5">
      <c r="B9" s="106"/>
      <c r="C9" s="106"/>
      <c r="D9" s="106"/>
    </row>
    <row r="10" spans="2:4" ht="13.5">
      <c r="B10" s="106"/>
      <c r="C10" s="106"/>
      <c r="D10" s="106"/>
    </row>
    <row r="11" spans="2:4" ht="13.5">
      <c r="B11" s="106"/>
      <c r="C11" s="106"/>
      <c r="D11" s="106"/>
    </row>
    <row r="12" spans="2:4" ht="13.5">
      <c r="B12" s="106"/>
      <c r="C12" s="106"/>
      <c r="D12" s="106"/>
    </row>
    <row r="13" spans="2:4" ht="13.5">
      <c r="B13" s="106"/>
      <c r="C13" s="106"/>
      <c r="D13" s="106"/>
    </row>
    <row r="14" spans="2:4" ht="13.5">
      <c r="B14" s="106"/>
      <c r="C14" s="106"/>
      <c r="D14" s="106"/>
    </row>
    <row r="15" spans="2:4" ht="13.5">
      <c r="B15" s="106"/>
      <c r="C15" s="106"/>
      <c r="D15" s="106"/>
    </row>
    <row r="16" spans="2:4" ht="13.5">
      <c r="B16" s="106"/>
      <c r="C16" s="106"/>
      <c r="D16" s="106"/>
    </row>
    <row r="17" spans="2:4" ht="13.5">
      <c r="B17" s="106"/>
      <c r="C17" s="106"/>
      <c r="D17" s="106"/>
    </row>
    <row r="18" spans="2:4" ht="13.5">
      <c r="B18" s="106"/>
      <c r="C18" s="106"/>
      <c r="D18" s="106"/>
    </row>
    <row r="19" spans="2:4" ht="13.5">
      <c r="B19" s="106"/>
      <c r="C19" s="106"/>
      <c r="D19" s="106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koishitakao</cp:lastModifiedBy>
  <cp:lastPrinted>2009-12-26T02:50:00Z</cp:lastPrinted>
  <dcterms:created xsi:type="dcterms:W3CDTF">2007-09-21T14:32:58Z</dcterms:created>
  <dcterms:modified xsi:type="dcterms:W3CDTF">2012-12-14T02:10:27Z</dcterms:modified>
  <cp:category/>
  <cp:version/>
  <cp:contentType/>
  <cp:contentStatus/>
</cp:coreProperties>
</file>